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2019" sheetId="1" r:id="rId1"/>
    <sheet name="Расчет" sheetId="2" r:id="rId2"/>
    <sheet name="2018 (2)" sheetId="3" r:id="rId3"/>
  </sheets>
  <definedNames/>
  <calcPr fullCalcOnLoad="1"/>
</workbook>
</file>

<file path=xl/sharedStrings.xml><?xml version="1.0" encoding="utf-8"?>
<sst xmlns="http://schemas.openxmlformats.org/spreadsheetml/2006/main" count="122" uniqueCount="44">
  <si>
    <t>Утверждено</t>
  </si>
  <si>
    <t>Штатная единица</t>
  </si>
  <si>
    <t>Количество</t>
  </si>
  <si>
    <t>штатных единиц</t>
  </si>
  <si>
    <t>Председатель</t>
  </si>
  <si>
    <t>Управляющий</t>
  </si>
  <si>
    <t>Бухгалтер</t>
  </si>
  <si>
    <t>Слесарь-сантехник</t>
  </si>
  <si>
    <t>Электрик</t>
  </si>
  <si>
    <t>Дворник</t>
  </si>
  <si>
    <t>Итого:</t>
  </si>
  <si>
    <t>ФОТ с районным коэффициентом</t>
  </si>
  <si>
    <t>Резерв на отпуск</t>
  </si>
  <si>
    <t>Отчисления в пенс. фонд, соцстрах, мед.страх (20,2%)</t>
  </si>
  <si>
    <t>Оплата труда (ФОТ, отпускн., отчислен. в ПФР, ФСС, ФМС)</t>
  </si>
  <si>
    <t xml:space="preserve">Зампредседателя </t>
  </si>
  <si>
    <t>Паспортист</t>
  </si>
  <si>
    <t>уборщик подъездов</t>
  </si>
  <si>
    <t>Уборщик мусоропроводов</t>
  </si>
  <si>
    <t>Правление</t>
  </si>
  <si>
    <t>АУП</t>
  </si>
  <si>
    <t>Производственное</t>
  </si>
  <si>
    <t>собранием членов ТСЖ "Родина"</t>
  </si>
  <si>
    <t>ТСЖ "Родина"</t>
  </si>
  <si>
    <t>₽/мес.</t>
  </si>
  <si>
    <t>₽/год</t>
  </si>
  <si>
    <t>Подразделение</t>
  </si>
  <si>
    <t>Председатель правления                                                             О.И.Ушатова</t>
  </si>
  <si>
    <t>" 15 " января 2018г.</t>
  </si>
  <si>
    <t>" 15  " января 2018г.</t>
  </si>
  <si>
    <t>Оклад  2017</t>
  </si>
  <si>
    <t>Оклад  2018</t>
  </si>
  <si>
    <t>Штатное расписание на 2018 г.</t>
  </si>
  <si>
    <t>ответственный за теплохозяйство</t>
  </si>
  <si>
    <t>Оклад  2019</t>
  </si>
  <si>
    <t>ответственный за электрохозяйство</t>
  </si>
  <si>
    <t>Мастер по эксплуатации и обслуживанию МКД</t>
  </si>
  <si>
    <t>Штатное расписание на 2019 г.</t>
  </si>
  <si>
    <t>Резерв на оплату сверхурочных, выходных и праздничных</t>
  </si>
  <si>
    <t xml:space="preserve">ПРОЕКТ                                  Утвержден на общем собрании </t>
  </si>
  <si>
    <t>членов ТСЖ "Родина"</t>
  </si>
  <si>
    <t>Протокол №       от "      "       2019г.</t>
  </si>
  <si>
    <t>Председатель правления</t>
  </si>
  <si>
    <t>________________________ О.И.Ушатова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</si>
</sst>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26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 vertical="center" wrapText="1"/>
    </xf>
    <xf numFmtId="0" fontId="26" fillId="0" borderId="15" xfId="0" applyFont="1" applyBorder="1" applyAlignment="1">
      <alignment/>
    </xf>
    <xf numFmtId="3" fontId="26" fillId="0" borderId="15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3" fontId="26" fillId="0" borderId="15" xfId="0" applyNumberFormat="1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26" fillId="0" borderId="13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Border="1" applyAlignment="1">
      <alignment horizontal="right" vertical="top" wrapText="1"/>
    </xf>
    <xf numFmtId="0" fontId="35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5" xfId="0" applyNumberFormat="1" applyBorder="1" applyAlignment="1">
      <alignment vertical="center" wrapText="1"/>
    </xf>
    <xf numFmtId="1" fontId="0" fillId="0" borderId="15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7">
      <selection activeCell="C21" sqref="C21"/>
    </sheetView>
  </sheetViews>
  <sheetFormatPr defaultColWidth="9.140625" defaultRowHeight="15"/>
  <cols>
    <col min="1" max="1" width="13.140625" style="0" customWidth="1"/>
    <col min="2" max="2" width="22.28125" style="0" customWidth="1"/>
    <col min="3" max="3" width="15.28125" style="46" customWidth="1"/>
    <col min="4" max="4" width="9.00390625" style="0" hidden="1" customWidth="1"/>
    <col min="5" max="5" width="11.140625" style="0" hidden="1" customWidth="1"/>
    <col min="6" max="6" width="9.7109375" style="0" hidden="1" customWidth="1"/>
    <col min="7" max="13" width="9.140625" style="0" hidden="1" customWidth="1"/>
    <col min="14" max="14" width="0.9921875" style="0" hidden="1" customWidth="1"/>
    <col min="17" max="17" width="9.140625" style="0" hidden="1" customWidth="1"/>
    <col min="18" max="18" width="0" style="0" hidden="1" customWidth="1"/>
  </cols>
  <sheetData>
    <row r="1" spans="1:4" ht="15">
      <c r="A1" s="71" t="s">
        <v>39</v>
      </c>
      <c r="B1" s="71"/>
      <c r="C1" s="71"/>
      <c r="D1" s="71"/>
    </row>
    <row r="2" spans="1:4" ht="15">
      <c r="A2" s="71" t="s">
        <v>40</v>
      </c>
      <c r="B2" s="71"/>
      <c r="C2" s="71"/>
      <c r="D2" s="71"/>
    </row>
    <row r="3" spans="1:4" ht="15">
      <c r="A3" s="71" t="s">
        <v>41</v>
      </c>
      <c r="B3" s="71"/>
      <c r="C3" s="71"/>
      <c r="D3" s="71"/>
    </row>
    <row r="4" spans="1:4" ht="15">
      <c r="A4" s="71" t="s">
        <v>42</v>
      </c>
      <c r="B4" s="71"/>
      <c r="C4" s="71"/>
      <c r="D4" s="71"/>
    </row>
    <row r="5" spans="1:4" ht="15">
      <c r="A5" s="71" t="s">
        <v>43</v>
      </c>
      <c r="B5" s="71"/>
      <c r="C5" s="71"/>
      <c r="D5" s="71"/>
    </row>
    <row r="6" spans="1:5" ht="18.75" customHeight="1">
      <c r="A6" s="17"/>
      <c r="B6" s="72" t="s">
        <v>23</v>
      </c>
      <c r="C6" s="72"/>
      <c r="D6" s="72"/>
      <c r="E6" s="72"/>
    </row>
    <row r="7" spans="1:5" ht="37.5" customHeight="1">
      <c r="A7" s="67" t="s">
        <v>37</v>
      </c>
      <c r="B7" s="67"/>
      <c r="C7" s="67"/>
      <c r="D7" s="50"/>
      <c r="E7" s="50"/>
    </row>
    <row r="8" spans="1:16" ht="15">
      <c r="A8" s="64" t="s">
        <v>26</v>
      </c>
      <c r="B8" s="64" t="s">
        <v>1</v>
      </c>
      <c r="C8" s="45" t="s">
        <v>2</v>
      </c>
      <c r="D8" s="65" t="s">
        <v>30</v>
      </c>
      <c r="E8" s="66"/>
      <c r="F8" s="26"/>
      <c r="G8" s="65" t="s">
        <v>31</v>
      </c>
      <c r="H8" s="65"/>
      <c r="O8" s="65" t="s">
        <v>34</v>
      </c>
      <c r="P8" s="65"/>
    </row>
    <row r="9" spans="1:16" ht="60">
      <c r="A9" s="64"/>
      <c r="B9" s="64"/>
      <c r="C9" s="45" t="s">
        <v>3</v>
      </c>
      <c r="D9" s="32" t="s">
        <v>24</v>
      </c>
      <c r="E9" s="33" t="s">
        <v>25</v>
      </c>
      <c r="F9" s="26"/>
      <c r="G9" s="32" t="s">
        <v>24</v>
      </c>
      <c r="H9" s="32" t="s">
        <v>25</v>
      </c>
      <c r="O9" s="34" t="s">
        <v>24</v>
      </c>
      <c r="P9" s="34" t="s">
        <v>25</v>
      </c>
    </row>
    <row r="10" spans="1:18" s="38" customFormat="1" ht="15">
      <c r="A10" s="68" t="s">
        <v>19</v>
      </c>
      <c r="B10" s="3" t="s">
        <v>4</v>
      </c>
      <c r="C10" s="48">
        <v>1</v>
      </c>
      <c r="D10" s="3">
        <v>18900</v>
      </c>
      <c r="E10" s="37">
        <f>D10*12</f>
        <v>226800</v>
      </c>
      <c r="F10" s="35">
        <f>D10*1.04</f>
        <v>19656</v>
      </c>
      <c r="G10" s="35">
        <f>F10</f>
        <v>19656</v>
      </c>
      <c r="H10" s="35">
        <f>G10*12</f>
        <v>235872</v>
      </c>
      <c r="I10" s="38">
        <f>G10-D10</f>
        <v>756</v>
      </c>
      <c r="J10" s="38">
        <f>16748*1.05</f>
        <v>17585.4</v>
      </c>
      <c r="O10" s="35">
        <f>ROUNDUP(G10*1.043,0)</f>
        <v>20502</v>
      </c>
      <c r="P10" s="35">
        <f>O10*12</f>
        <v>246024</v>
      </c>
      <c r="Q10" s="80">
        <f>O10*1.25</f>
        <v>25627.5</v>
      </c>
      <c r="R10" s="81">
        <f>Q10+Q11</f>
        <v>37017.5</v>
      </c>
    </row>
    <row r="11" spans="1:18" s="38" customFormat="1" ht="15">
      <c r="A11" s="69"/>
      <c r="B11" s="2" t="s">
        <v>15</v>
      </c>
      <c r="C11" s="5">
        <v>1</v>
      </c>
      <c r="D11" s="2">
        <v>8400</v>
      </c>
      <c r="E11" s="4">
        <f aca="true" t="shared" si="0" ref="E11:E21">D11*12</f>
        <v>100800</v>
      </c>
      <c r="F11" s="35">
        <f aca="true" t="shared" si="1" ref="F11:F22">D11*1.04</f>
        <v>8736</v>
      </c>
      <c r="G11" s="35">
        <f>F11</f>
        <v>8736</v>
      </c>
      <c r="H11" s="35">
        <f aca="true" t="shared" si="2" ref="H11:H22">G11*12</f>
        <v>104832</v>
      </c>
      <c r="I11" s="38">
        <f aca="true" t="shared" si="3" ref="I11:I21">G11-D11</f>
        <v>336</v>
      </c>
      <c r="O11" s="35">
        <f>ROUNDUP(G11*1.043,0)</f>
        <v>9112</v>
      </c>
      <c r="P11" s="35">
        <f aca="true" t="shared" si="4" ref="P11:P21">O11*12</f>
        <v>109344</v>
      </c>
      <c r="Q11" s="53">
        <f aca="true" t="shared" si="5" ref="Q11:Q22">O11*1.25</f>
        <v>11390</v>
      </c>
      <c r="R11" s="81"/>
    </row>
    <row r="12" spans="1:18" s="38" customFormat="1" ht="15">
      <c r="A12" s="70" t="s">
        <v>20</v>
      </c>
      <c r="B12" s="2" t="s">
        <v>6</v>
      </c>
      <c r="C12" s="5">
        <v>1</v>
      </c>
      <c r="D12" s="2">
        <v>14700</v>
      </c>
      <c r="E12" s="4">
        <f t="shared" si="0"/>
        <v>176400</v>
      </c>
      <c r="F12" s="35">
        <f t="shared" si="1"/>
        <v>15288</v>
      </c>
      <c r="G12" s="35">
        <f>F12</f>
        <v>15288</v>
      </c>
      <c r="H12" s="35">
        <f t="shared" si="2"/>
        <v>183456</v>
      </c>
      <c r="I12" s="38">
        <f t="shared" si="3"/>
        <v>588</v>
      </c>
      <c r="J12" s="38">
        <f>(12705+6372)*1.05</f>
        <v>20030.850000000002</v>
      </c>
      <c r="K12" s="38">
        <v>6372</v>
      </c>
      <c r="O12" s="35">
        <f>ROUNDUP(G12*1.043,0)</f>
        <v>15946</v>
      </c>
      <c r="P12" s="35">
        <f t="shared" si="4"/>
        <v>191352</v>
      </c>
      <c r="Q12" s="80">
        <f t="shared" si="5"/>
        <v>19932.5</v>
      </c>
      <c r="R12" s="53"/>
    </row>
    <row r="13" spans="1:18" s="38" customFormat="1" ht="15">
      <c r="A13" s="69"/>
      <c r="B13" s="2" t="s">
        <v>16</v>
      </c>
      <c r="C13" s="5">
        <v>0.5</v>
      </c>
      <c r="D13" s="2">
        <v>7035</v>
      </c>
      <c r="E13" s="4">
        <f t="shared" si="0"/>
        <v>84420</v>
      </c>
      <c r="F13" s="35">
        <f>D13*2/3</f>
        <v>4690</v>
      </c>
      <c r="G13" s="35">
        <v>7040</v>
      </c>
      <c r="H13" s="35">
        <f>D13*3+G13*9</f>
        <v>84465</v>
      </c>
      <c r="I13" s="38">
        <f t="shared" si="3"/>
        <v>5</v>
      </c>
      <c r="J13" s="38">
        <v>3586</v>
      </c>
      <c r="L13" s="38">
        <v>5000</v>
      </c>
      <c r="O13" s="35">
        <v>7040</v>
      </c>
      <c r="P13" s="35">
        <f t="shared" si="4"/>
        <v>84480</v>
      </c>
      <c r="Q13" s="53">
        <f t="shared" si="5"/>
        <v>8800</v>
      </c>
      <c r="R13" s="53"/>
    </row>
    <row r="14" spans="1:18" s="38" customFormat="1" ht="45">
      <c r="A14" s="70" t="s">
        <v>21</v>
      </c>
      <c r="B14" s="2" t="s">
        <v>36</v>
      </c>
      <c r="C14" s="5">
        <v>1</v>
      </c>
      <c r="D14" s="39">
        <v>15750</v>
      </c>
      <c r="E14" s="4">
        <f t="shared" si="0"/>
        <v>189000</v>
      </c>
      <c r="F14" s="35">
        <f t="shared" si="1"/>
        <v>16380</v>
      </c>
      <c r="G14" s="35">
        <f>F14</f>
        <v>16380</v>
      </c>
      <c r="H14" s="35">
        <f t="shared" si="2"/>
        <v>196560</v>
      </c>
      <c r="I14" s="38">
        <f t="shared" si="3"/>
        <v>630</v>
      </c>
      <c r="J14" s="38">
        <f>12128*1.05</f>
        <v>12734.4</v>
      </c>
      <c r="L14" s="35"/>
      <c r="O14" s="35">
        <f>ROUNDUP(G14*1.043,0)</f>
        <v>17085</v>
      </c>
      <c r="P14" s="35">
        <f t="shared" si="4"/>
        <v>205020</v>
      </c>
      <c r="Q14" s="80">
        <f t="shared" si="5"/>
        <v>21356.25</v>
      </c>
      <c r="R14" s="53"/>
    </row>
    <row r="15" spans="1:18" s="38" customFormat="1" ht="15">
      <c r="A15" s="68"/>
      <c r="B15" s="2" t="s">
        <v>7</v>
      </c>
      <c r="C15" s="5">
        <v>1</v>
      </c>
      <c r="D15" s="39">
        <v>9135</v>
      </c>
      <c r="E15" s="4">
        <f t="shared" si="0"/>
        <v>109620</v>
      </c>
      <c r="F15" s="35">
        <f t="shared" si="1"/>
        <v>9500.4</v>
      </c>
      <c r="G15" s="35">
        <v>9300</v>
      </c>
      <c r="H15" s="35">
        <f t="shared" si="2"/>
        <v>111600</v>
      </c>
      <c r="I15" s="38">
        <f t="shared" si="3"/>
        <v>165</v>
      </c>
      <c r="J15" s="38">
        <f>(10164+5081)*1.05/8*6</f>
        <v>12005.4375</v>
      </c>
      <c r="O15" s="35">
        <f>ROUNDUP(G15*1.043,0)</f>
        <v>9700</v>
      </c>
      <c r="P15" s="35">
        <f t="shared" si="4"/>
        <v>116400</v>
      </c>
      <c r="Q15" s="53">
        <f t="shared" si="5"/>
        <v>12125</v>
      </c>
      <c r="R15" s="65">
        <f>Q15+Q16</f>
        <v>13375</v>
      </c>
    </row>
    <row r="16" spans="1:18" s="38" customFormat="1" ht="30">
      <c r="A16" s="68"/>
      <c r="B16" s="2" t="s">
        <v>33</v>
      </c>
      <c r="C16" s="5"/>
      <c r="D16" s="39"/>
      <c r="E16" s="4"/>
      <c r="F16" s="35"/>
      <c r="G16" s="35">
        <v>1000</v>
      </c>
      <c r="H16" s="35">
        <f t="shared" si="2"/>
        <v>12000</v>
      </c>
      <c r="O16" s="35">
        <v>1000</v>
      </c>
      <c r="P16" s="35">
        <f t="shared" si="4"/>
        <v>12000</v>
      </c>
      <c r="Q16" s="53">
        <f t="shared" si="5"/>
        <v>1250</v>
      </c>
      <c r="R16" s="65"/>
    </row>
    <row r="17" spans="1:18" s="38" customFormat="1" ht="15">
      <c r="A17" s="68"/>
      <c r="B17" s="2" t="s">
        <v>8</v>
      </c>
      <c r="C17" s="51">
        <v>0.75</v>
      </c>
      <c r="D17" s="39">
        <v>7500</v>
      </c>
      <c r="E17" s="4">
        <f t="shared" si="0"/>
        <v>90000</v>
      </c>
      <c r="F17" s="35">
        <f t="shared" si="1"/>
        <v>7800</v>
      </c>
      <c r="G17" s="35">
        <v>7500</v>
      </c>
      <c r="H17" s="35">
        <f t="shared" si="2"/>
        <v>90000</v>
      </c>
      <c r="I17" s="38">
        <f t="shared" si="3"/>
        <v>0</v>
      </c>
      <c r="J17" s="38">
        <f>6584*1.05/8*6</f>
        <v>5184.900000000001</v>
      </c>
      <c r="K17" s="38">
        <f>J17*1.04</f>
        <v>5392.296000000001</v>
      </c>
      <c r="O17" s="35">
        <v>7500</v>
      </c>
      <c r="P17" s="35">
        <f t="shared" si="4"/>
        <v>90000</v>
      </c>
      <c r="Q17" s="53">
        <f t="shared" si="5"/>
        <v>9375</v>
      </c>
      <c r="R17" s="65">
        <f>Q17+Q18</f>
        <v>11250</v>
      </c>
    </row>
    <row r="18" spans="1:18" s="38" customFormat="1" ht="30">
      <c r="A18" s="68"/>
      <c r="B18" s="2" t="s">
        <v>35</v>
      </c>
      <c r="C18" s="5"/>
      <c r="D18" s="39"/>
      <c r="E18" s="4"/>
      <c r="F18" s="35"/>
      <c r="G18" s="35">
        <v>1500</v>
      </c>
      <c r="H18" s="35">
        <f>G18*12</f>
        <v>18000</v>
      </c>
      <c r="O18" s="35">
        <v>1500</v>
      </c>
      <c r="P18" s="35">
        <f t="shared" si="4"/>
        <v>18000</v>
      </c>
      <c r="Q18" s="53">
        <f t="shared" si="5"/>
        <v>1875</v>
      </c>
      <c r="R18" s="65"/>
    </row>
    <row r="19" spans="1:18" s="38" customFormat="1" ht="15">
      <c r="A19" s="68"/>
      <c r="B19" s="2" t="s">
        <v>9</v>
      </c>
      <c r="C19" s="5">
        <v>1</v>
      </c>
      <c r="D19" s="39">
        <v>13125</v>
      </c>
      <c r="E19" s="4">
        <f t="shared" si="0"/>
        <v>157500</v>
      </c>
      <c r="F19" s="35">
        <f>D19*1.06</f>
        <v>13912.5</v>
      </c>
      <c r="G19" s="35">
        <f>14000+1260</f>
        <v>15260</v>
      </c>
      <c r="H19" s="35">
        <f t="shared" si="2"/>
        <v>183120</v>
      </c>
      <c r="I19" s="38">
        <f t="shared" si="3"/>
        <v>2135</v>
      </c>
      <c r="J19" s="38">
        <f>13397*1.05</f>
        <v>14066.85</v>
      </c>
      <c r="K19" s="38">
        <f>J19/6</f>
        <v>2344.475</v>
      </c>
      <c r="L19" s="38">
        <f>D19/6</f>
        <v>2187.5</v>
      </c>
      <c r="M19" s="38">
        <v>14000</v>
      </c>
      <c r="O19" s="35">
        <f>ROUNDUP(G19*1.043,0)</f>
        <v>15917</v>
      </c>
      <c r="P19" s="35">
        <f t="shared" si="4"/>
        <v>191004</v>
      </c>
      <c r="Q19" s="53">
        <f t="shared" si="5"/>
        <v>19896.25</v>
      </c>
      <c r="R19" s="53"/>
    </row>
    <row r="20" spans="1:18" s="38" customFormat="1" ht="15">
      <c r="A20" s="68"/>
      <c r="B20" s="2" t="s">
        <v>17</v>
      </c>
      <c r="C20" s="5">
        <v>1</v>
      </c>
      <c r="D20" s="39">
        <v>12600</v>
      </c>
      <c r="E20" s="4">
        <f t="shared" si="0"/>
        <v>151200</v>
      </c>
      <c r="F20" s="35">
        <f t="shared" si="1"/>
        <v>13104</v>
      </c>
      <c r="G20" s="35">
        <v>12600</v>
      </c>
      <c r="H20" s="35">
        <f t="shared" si="2"/>
        <v>151200</v>
      </c>
      <c r="I20" s="38">
        <f t="shared" si="3"/>
        <v>0</v>
      </c>
      <c r="J20" s="38">
        <f>14208*1.05/8*6</f>
        <v>11188.800000000001</v>
      </c>
      <c r="K20" s="38">
        <f>J20/6</f>
        <v>1864.8000000000002</v>
      </c>
      <c r="O20" s="35">
        <f>ROUNDUP(G20*1.043,0)</f>
        <v>13142</v>
      </c>
      <c r="P20" s="35">
        <f t="shared" si="4"/>
        <v>157704</v>
      </c>
      <c r="Q20" s="53">
        <f t="shared" si="5"/>
        <v>16427.5</v>
      </c>
      <c r="R20" s="53"/>
    </row>
    <row r="21" spans="1:18" s="38" customFormat="1" ht="30">
      <c r="A21" s="69"/>
      <c r="B21" s="1" t="s">
        <v>18</v>
      </c>
      <c r="C21" s="5">
        <v>1</v>
      </c>
      <c r="D21" s="39">
        <v>12000</v>
      </c>
      <c r="E21" s="4">
        <f t="shared" si="0"/>
        <v>144000</v>
      </c>
      <c r="F21" s="35">
        <f t="shared" si="1"/>
        <v>12480</v>
      </c>
      <c r="G21" s="35">
        <v>12000</v>
      </c>
      <c r="H21" s="35">
        <f t="shared" si="2"/>
        <v>144000</v>
      </c>
      <c r="I21" s="38">
        <f t="shared" si="3"/>
        <v>0</v>
      </c>
      <c r="J21" s="38">
        <f>12936*1.05/8*6</f>
        <v>10187.1</v>
      </c>
      <c r="K21" s="38">
        <f>J21/6</f>
        <v>1697.8500000000001</v>
      </c>
      <c r="O21" s="35">
        <f aca="true" t="shared" si="6" ref="O11:O21">ROUNDUP(G21*1.04,0)</f>
        <v>12480</v>
      </c>
      <c r="P21" s="35">
        <f t="shared" si="4"/>
        <v>149760</v>
      </c>
      <c r="Q21" s="53">
        <f t="shared" si="5"/>
        <v>15600</v>
      </c>
      <c r="R21" s="53"/>
    </row>
    <row r="22" spans="1:18" s="41" customFormat="1" ht="15">
      <c r="A22" s="11"/>
      <c r="B22" s="15" t="s">
        <v>10</v>
      </c>
      <c r="C22" s="13">
        <f>SUM(C10:C21)</f>
        <v>9.25</v>
      </c>
      <c r="D22" s="11">
        <f>SUM(D10:D21)</f>
        <v>119145</v>
      </c>
      <c r="E22" s="40">
        <f>SUM(E10:E21)</f>
        <v>1429740</v>
      </c>
      <c r="F22" s="35">
        <f t="shared" si="1"/>
        <v>123910.8</v>
      </c>
      <c r="G22" s="35">
        <f>SUM(G10:G21)</f>
        <v>126260</v>
      </c>
      <c r="H22" s="35">
        <f t="shared" si="2"/>
        <v>1515120</v>
      </c>
      <c r="O22" s="42">
        <f>SUM(O10:O21)</f>
        <v>130924</v>
      </c>
      <c r="P22" s="42">
        <f>SUM(P10:P21)</f>
        <v>1571088</v>
      </c>
      <c r="Q22" s="53">
        <f t="shared" si="5"/>
        <v>163655</v>
      </c>
      <c r="R22" s="42"/>
    </row>
    <row r="23" spans="1:16" s="38" customFormat="1" ht="60">
      <c r="A23" s="4"/>
      <c r="B23" s="60" t="s">
        <v>14</v>
      </c>
      <c r="C23" s="52" t="s">
        <v>11</v>
      </c>
      <c r="D23" s="2"/>
      <c r="E23" s="43">
        <f>E22*1.25</f>
        <v>1787175</v>
      </c>
      <c r="F23" s="44"/>
      <c r="G23" s="44"/>
      <c r="H23" s="44">
        <f>H22*1.25</f>
        <v>1893900</v>
      </c>
      <c r="I23" s="44">
        <f aca="true" t="shared" si="7" ref="I23:P23">I22*1.25</f>
        <v>0</v>
      </c>
      <c r="J23" s="44">
        <f t="shared" si="7"/>
        <v>0</v>
      </c>
      <c r="K23" s="44">
        <f t="shared" si="7"/>
        <v>0</v>
      </c>
      <c r="L23" s="44">
        <f t="shared" si="7"/>
        <v>0</v>
      </c>
      <c r="M23" s="44">
        <f t="shared" si="7"/>
        <v>0</v>
      </c>
      <c r="N23" s="44">
        <f t="shared" si="7"/>
        <v>0</v>
      </c>
      <c r="O23" s="44">
        <f t="shared" si="7"/>
        <v>163655</v>
      </c>
      <c r="P23" s="44">
        <f t="shared" si="7"/>
        <v>1963860</v>
      </c>
    </row>
    <row r="24" spans="1:16" s="38" customFormat="1" ht="75">
      <c r="A24" s="4"/>
      <c r="B24" s="61"/>
      <c r="C24" s="52" t="s">
        <v>38</v>
      </c>
      <c r="D24" s="2"/>
      <c r="E24" s="43"/>
      <c r="F24" s="44"/>
      <c r="G24" s="44"/>
      <c r="H24" s="44"/>
      <c r="I24" s="49"/>
      <c r="J24" s="49"/>
      <c r="K24" s="49"/>
      <c r="L24" s="49"/>
      <c r="M24" s="49"/>
      <c r="N24" s="49"/>
      <c r="O24" s="44"/>
      <c r="P24" s="44">
        <f>P25*0.1</f>
        <v>16365.5</v>
      </c>
    </row>
    <row r="25" spans="1:16" s="38" customFormat="1" ht="30">
      <c r="A25" s="4"/>
      <c r="B25" s="61"/>
      <c r="C25" s="52" t="s">
        <v>12</v>
      </c>
      <c r="D25" s="2"/>
      <c r="E25" s="43">
        <f>E23/12</f>
        <v>148931.25</v>
      </c>
      <c r="F25" s="35"/>
      <c r="G25" s="35"/>
      <c r="H25" s="44">
        <f>H23/12</f>
        <v>157825</v>
      </c>
      <c r="O25" s="47"/>
      <c r="P25" s="44">
        <f>P23/12</f>
        <v>163655</v>
      </c>
    </row>
    <row r="26" spans="1:16" s="38" customFormat="1" ht="75">
      <c r="A26" s="4"/>
      <c r="B26" s="62"/>
      <c r="C26" s="52" t="s">
        <v>13</v>
      </c>
      <c r="D26" s="2"/>
      <c r="E26" s="43">
        <f>(E23+E25)*0.202</f>
        <v>391093.4625</v>
      </c>
      <c r="F26" s="35"/>
      <c r="G26" s="35"/>
      <c r="H26" s="44">
        <f>(H23+H25)*0.202</f>
        <v>414448.45</v>
      </c>
      <c r="I26" s="44">
        <f aca="true" t="shared" si="8" ref="I26:N26">(I23+I25)*0.202</f>
        <v>0</v>
      </c>
      <c r="J26" s="44">
        <f t="shared" si="8"/>
        <v>0</v>
      </c>
      <c r="K26" s="44">
        <f t="shared" si="8"/>
        <v>0</v>
      </c>
      <c r="L26" s="44">
        <f t="shared" si="8"/>
        <v>0</v>
      </c>
      <c r="M26" s="44">
        <f t="shared" si="8"/>
        <v>0</v>
      </c>
      <c r="N26" s="44">
        <f t="shared" si="8"/>
        <v>0</v>
      </c>
      <c r="O26" s="44">
        <f>(O23+O25)*0.302</f>
        <v>49423.81</v>
      </c>
      <c r="P26" s="44">
        <f>(P23+P25)*0.302</f>
        <v>642509.53</v>
      </c>
    </row>
    <row r="27" spans="1:16" s="14" customFormat="1" ht="15">
      <c r="A27" s="11"/>
      <c r="B27" s="12"/>
      <c r="C27" s="13" t="s">
        <v>10</v>
      </c>
      <c r="D27" s="11"/>
      <c r="E27" s="24">
        <f>SUM(E23:E26)</f>
        <v>2327199.7125</v>
      </c>
      <c r="F27" s="28"/>
      <c r="G27" s="28"/>
      <c r="H27" s="29">
        <f>SUM(H23:H26)</f>
        <v>2466173.45</v>
      </c>
      <c r="O27" s="28"/>
      <c r="P27" s="36">
        <f>SUM(P23:P26)</f>
        <v>2786390.0300000003</v>
      </c>
    </row>
    <row r="29" spans="1:5" ht="15">
      <c r="A29" s="63"/>
      <c r="B29" s="63"/>
      <c r="C29" s="63"/>
      <c r="D29" s="63"/>
      <c r="E29" s="63"/>
    </row>
    <row r="30" spans="4:5" ht="15">
      <c r="D30" s="63" t="s">
        <v>28</v>
      </c>
      <c r="E30" s="63"/>
    </row>
  </sheetData>
  <sheetProtection/>
  <mergeCells count="21">
    <mergeCell ref="R15:R16"/>
    <mergeCell ref="R17:R18"/>
    <mergeCell ref="R10:R11"/>
    <mergeCell ref="A1:D1"/>
    <mergeCell ref="A2:D2"/>
    <mergeCell ref="A3:D3"/>
    <mergeCell ref="A4:D4"/>
    <mergeCell ref="A5:D5"/>
    <mergeCell ref="B6:E6"/>
    <mergeCell ref="A7:C7"/>
    <mergeCell ref="D30:E30"/>
    <mergeCell ref="G8:H8"/>
    <mergeCell ref="A10:A11"/>
    <mergeCell ref="A12:A13"/>
    <mergeCell ref="A14:A21"/>
    <mergeCell ref="B23:B26"/>
    <mergeCell ref="A29:E29"/>
    <mergeCell ref="A8:A9"/>
    <mergeCell ref="B8:B9"/>
    <mergeCell ref="D8:E8"/>
    <mergeCell ref="O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2.421875" style="0" customWidth="1"/>
    <col min="2" max="2" width="22.28125" style="0" customWidth="1"/>
    <col min="3" max="3" width="12.57421875" style="0" customWidth="1"/>
    <col min="4" max="4" width="10.421875" style="0" customWidth="1"/>
    <col min="5" max="5" width="11.140625" style="0" customWidth="1"/>
  </cols>
  <sheetData>
    <row r="1" spans="1:5" ht="15" customHeight="1">
      <c r="A1" s="76"/>
      <c r="B1" s="20" t="s">
        <v>0</v>
      </c>
      <c r="C1" s="20"/>
      <c r="D1" s="20"/>
      <c r="E1" s="20"/>
    </row>
    <row r="2" spans="1:5" ht="15" customHeight="1">
      <c r="A2" s="76"/>
      <c r="B2" s="20" t="s">
        <v>22</v>
      </c>
      <c r="C2" s="20"/>
      <c r="D2" s="20"/>
      <c r="E2" s="20"/>
    </row>
    <row r="3" spans="1:5" ht="15" customHeight="1">
      <c r="A3" s="76"/>
      <c r="B3" s="20" t="s">
        <v>29</v>
      </c>
      <c r="C3" s="20"/>
      <c r="D3" s="20"/>
      <c r="E3" s="20"/>
    </row>
    <row r="4" spans="1:5" ht="18.75" customHeight="1">
      <c r="A4" s="17"/>
      <c r="B4" s="72" t="s">
        <v>23</v>
      </c>
      <c r="C4" s="72"/>
      <c r="D4" s="72"/>
      <c r="E4" s="72"/>
    </row>
    <row r="5" spans="1:5" ht="37.5" customHeight="1">
      <c r="A5" s="17"/>
      <c r="B5" s="72" t="s">
        <v>32</v>
      </c>
      <c r="C5" s="72"/>
      <c r="D5" s="72"/>
      <c r="E5" s="72"/>
    </row>
    <row r="6" spans="1:8" ht="15">
      <c r="A6" s="64" t="s">
        <v>26</v>
      </c>
      <c r="B6" s="64" t="s">
        <v>1</v>
      </c>
      <c r="C6" s="9" t="s">
        <v>2</v>
      </c>
      <c r="D6" s="65" t="s">
        <v>30</v>
      </c>
      <c r="E6" s="66"/>
      <c r="F6" s="26"/>
      <c r="G6" s="65" t="s">
        <v>31</v>
      </c>
      <c r="H6" s="65"/>
    </row>
    <row r="7" spans="1:8" ht="30">
      <c r="A7" s="64"/>
      <c r="B7" s="64"/>
      <c r="C7" s="9" t="s">
        <v>3</v>
      </c>
      <c r="D7" s="10" t="s">
        <v>24</v>
      </c>
      <c r="E7" s="21" t="s">
        <v>25</v>
      </c>
      <c r="F7" s="26"/>
      <c r="G7" s="19" t="s">
        <v>24</v>
      </c>
      <c r="H7" s="19" t="s">
        <v>25</v>
      </c>
    </row>
    <row r="8" spans="1:10" ht="15">
      <c r="A8" s="73" t="s">
        <v>19</v>
      </c>
      <c r="B8" s="3" t="s">
        <v>4</v>
      </c>
      <c r="C8" s="16">
        <v>1</v>
      </c>
      <c r="D8" s="18">
        <v>18900</v>
      </c>
      <c r="E8" s="22">
        <f>D8*12</f>
        <v>226800</v>
      </c>
      <c r="F8" s="26">
        <f>D8*1.04</f>
        <v>19656</v>
      </c>
      <c r="G8" s="26">
        <f>F8</f>
        <v>19656</v>
      </c>
      <c r="H8" s="26">
        <f>G8*12</f>
        <v>235872</v>
      </c>
      <c r="I8">
        <f>G8-D8</f>
        <v>756</v>
      </c>
      <c r="J8">
        <f>16748*1.05</f>
        <v>17585.4</v>
      </c>
    </row>
    <row r="9" spans="1:9" ht="15">
      <c r="A9" s="74"/>
      <c r="B9" s="2" t="s">
        <v>15</v>
      </c>
      <c r="C9" s="5">
        <v>1</v>
      </c>
      <c r="D9" s="6">
        <v>8400</v>
      </c>
      <c r="E9" s="23">
        <f aca="true" t="shared" si="0" ref="E9:E17">D9*12</f>
        <v>100800</v>
      </c>
      <c r="F9" s="26">
        <f aca="true" t="shared" si="1" ref="F9:F18">D9*1.04</f>
        <v>8736</v>
      </c>
      <c r="G9" s="26">
        <f>F9</f>
        <v>8736</v>
      </c>
      <c r="H9" s="26">
        <f aca="true" t="shared" si="2" ref="H9:H18">G9*12</f>
        <v>104832</v>
      </c>
      <c r="I9">
        <f aca="true" t="shared" si="3" ref="I9:I17">G9-D9</f>
        <v>336</v>
      </c>
    </row>
    <row r="10" spans="1:11" ht="15">
      <c r="A10" s="75" t="s">
        <v>20</v>
      </c>
      <c r="B10" s="2" t="s">
        <v>6</v>
      </c>
      <c r="C10" s="5">
        <v>1</v>
      </c>
      <c r="D10" s="6">
        <v>14700</v>
      </c>
      <c r="E10" s="23">
        <f t="shared" si="0"/>
        <v>176400</v>
      </c>
      <c r="F10" s="26">
        <f t="shared" si="1"/>
        <v>15288</v>
      </c>
      <c r="G10" s="26">
        <f>F10</f>
        <v>15288</v>
      </c>
      <c r="H10" s="26">
        <f t="shared" si="2"/>
        <v>183456</v>
      </c>
      <c r="I10">
        <f t="shared" si="3"/>
        <v>588</v>
      </c>
      <c r="J10">
        <f>(12705+6372)*1.05</f>
        <v>20030.850000000002</v>
      </c>
      <c r="K10">
        <v>6372</v>
      </c>
    </row>
    <row r="11" spans="1:12" ht="15">
      <c r="A11" s="74"/>
      <c r="B11" s="2" t="s">
        <v>16</v>
      </c>
      <c r="C11" s="5">
        <v>0.33</v>
      </c>
      <c r="D11" s="6">
        <v>7035</v>
      </c>
      <c r="E11" s="23">
        <f t="shared" si="0"/>
        <v>84420</v>
      </c>
      <c r="F11" s="26">
        <f>D11*2/3</f>
        <v>4690</v>
      </c>
      <c r="G11" s="26">
        <v>4690</v>
      </c>
      <c r="H11" s="26">
        <f t="shared" si="2"/>
        <v>56280</v>
      </c>
      <c r="I11">
        <f t="shared" si="3"/>
        <v>-2345</v>
      </c>
      <c r="J11">
        <v>3586</v>
      </c>
      <c r="L11">
        <v>5000</v>
      </c>
    </row>
    <row r="12" spans="1:12" ht="15">
      <c r="A12" s="75" t="s">
        <v>21</v>
      </c>
      <c r="B12" s="2" t="s">
        <v>5</v>
      </c>
      <c r="C12" s="5">
        <v>1</v>
      </c>
      <c r="D12" s="7">
        <v>15750</v>
      </c>
      <c r="E12" s="23">
        <f t="shared" si="0"/>
        <v>189000</v>
      </c>
      <c r="F12" s="26">
        <f t="shared" si="1"/>
        <v>16380</v>
      </c>
      <c r="G12" s="26">
        <f>F12</f>
        <v>16380</v>
      </c>
      <c r="H12" s="26">
        <f t="shared" si="2"/>
        <v>196560</v>
      </c>
      <c r="I12">
        <f t="shared" si="3"/>
        <v>630</v>
      </c>
      <c r="J12">
        <f>12128*1.05</f>
        <v>12734.4</v>
      </c>
      <c r="L12" s="26"/>
    </row>
    <row r="13" spans="1:10" ht="15">
      <c r="A13" s="73"/>
      <c r="B13" s="2" t="s">
        <v>7</v>
      </c>
      <c r="C13" s="5">
        <v>1</v>
      </c>
      <c r="D13" s="7">
        <v>9135</v>
      </c>
      <c r="E13" s="23">
        <f t="shared" si="0"/>
        <v>109620</v>
      </c>
      <c r="F13" s="26">
        <f t="shared" si="1"/>
        <v>9500.4</v>
      </c>
      <c r="G13" s="26">
        <v>9200</v>
      </c>
      <c r="H13" s="26">
        <f t="shared" si="2"/>
        <v>110400</v>
      </c>
      <c r="I13">
        <f t="shared" si="3"/>
        <v>65</v>
      </c>
      <c r="J13">
        <f>(10164+5081)*1.05/8*6</f>
        <v>12005.4375</v>
      </c>
    </row>
    <row r="14" spans="1:11" ht="15">
      <c r="A14" s="73"/>
      <c r="B14" s="2" t="s">
        <v>8</v>
      </c>
      <c r="C14" s="5">
        <v>1</v>
      </c>
      <c r="D14" s="7">
        <v>7500</v>
      </c>
      <c r="E14" s="23">
        <f t="shared" si="0"/>
        <v>90000</v>
      </c>
      <c r="F14" s="26">
        <f t="shared" si="1"/>
        <v>7800</v>
      </c>
      <c r="G14" s="26">
        <v>7500</v>
      </c>
      <c r="H14" s="26">
        <f t="shared" si="2"/>
        <v>90000</v>
      </c>
      <c r="I14">
        <f t="shared" si="3"/>
        <v>0</v>
      </c>
      <c r="J14">
        <f>6584*1.05/8*6</f>
        <v>5184.900000000001</v>
      </c>
      <c r="K14">
        <f>J14*1.04</f>
        <v>5392.296000000001</v>
      </c>
    </row>
    <row r="15" spans="1:13" ht="15">
      <c r="A15" s="73"/>
      <c r="B15" s="2" t="s">
        <v>9</v>
      </c>
      <c r="C15" s="5">
        <v>1</v>
      </c>
      <c r="D15" s="7">
        <v>13125</v>
      </c>
      <c r="E15" s="23">
        <f t="shared" si="0"/>
        <v>157500</v>
      </c>
      <c r="F15" s="26">
        <f>D15*1.06</f>
        <v>13912.5</v>
      </c>
      <c r="G15" s="26">
        <v>14000</v>
      </c>
      <c r="H15" s="26">
        <f t="shared" si="2"/>
        <v>168000</v>
      </c>
      <c r="I15">
        <f t="shared" si="3"/>
        <v>875</v>
      </c>
      <c r="J15">
        <f>13397*1.05</f>
        <v>14066.85</v>
      </c>
      <c r="K15">
        <f>J15/6</f>
        <v>2344.475</v>
      </c>
      <c r="L15">
        <f>D15/6</f>
        <v>2187.5</v>
      </c>
      <c r="M15">
        <v>14000</v>
      </c>
    </row>
    <row r="16" spans="1:11" ht="15">
      <c r="A16" s="73"/>
      <c r="B16" s="2" t="s">
        <v>17</v>
      </c>
      <c r="C16" s="5">
        <v>1</v>
      </c>
      <c r="D16" s="7">
        <v>12600</v>
      </c>
      <c r="E16" s="23">
        <f t="shared" si="0"/>
        <v>151200</v>
      </c>
      <c r="F16" s="26">
        <f t="shared" si="1"/>
        <v>13104</v>
      </c>
      <c r="G16" s="26">
        <v>12800</v>
      </c>
      <c r="H16" s="26">
        <f t="shared" si="2"/>
        <v>153600</v>
      </c>
      <c r="I16">
        <f t="shared" si="3"/>
        <v>200</v>
      </c>
      <c r="J16">
        <f>14208*1.05/8*6</f>
        <v>11188.800000000001</v>
      </c>
      <c r="K16">
        <f>J16/6</f>
        <v>1864.8000000000002</v>
      </c>
    </row>
    <row r="17" spans="1:11" s="31" customFormat="1" ht="30">
      <c r="A17" s="74"/>
      <c r="B17" s="1" t="s">
        <v>18</v>
      </c>
      <c r="C17" s="5">
        <v>1</v>
      </c>
      <c r="D17" s="7">
        <v>12000</v>
      </c>
      <c r="E17" s="23">
        <f t="shared" si="0"/>
        <v>144000</v>
      </c>
      <c r="F17" s="30">
        <f t="shared" si="1"/>
        <v>12480</v>
      </c>
      <c r="G17" s="30">
        <v>12000</v>
      </c>
      <c r="H17" s="30">
        <f t="shared" si="2"/>
        <v>144000</v>
      </c>
      <c r="I17">
        <f t="shared" si="3"/>
        <v>0</v>
      </c>
      <c r="J17" s="31">
        <f>12936*1.05/8*6</f>
        <v>10187.1</v>
      </c>
      <c r="K17" s="31">
        <f>J17/6</f>
        <v>1697.8500000000001</v>
      </c>
    </row>
    <row r="18" spans="1:8" s="14" customFormat="1" ht="15">
      <c r="A18" s="11"/>
      <c r="B18" s="15" t="s">
        <v>10</v>
      </c>
      <c r="C18" s="13">
        <f>SUM(C8:C17)</f>
        <v>9.33</v>
      </c>
      <c r="D18" s="11">
        <f>SUM(D8:D17)</f>
        <v>119145</v>
      </c>
      <c r="E18" s="24">
        <f>SUM(E8:E17)</f>
        <v>1429740</v>
      </c>
      <c r="F18" s="26">
        <f t="shared" si="1"/>
        <v>123910.8</v>
      </c>
      <c r="G18" s="26">
        <f>SUM(G8:G17)</f>
        <v>120250</v>
      </c>
      <c r="H18" s="26">
        <f t="shared" si="2"/>
        <v>1443000</v>
      </c>
    </row>
    <row r="19" spans="1:8" ht="60">
      <c r="A19" s="4"/>
      <c r="B19" s="77" t="s">
        <v>14</v>
      </c>
      <c r="C19" s="8" t="s">
        <v>11</v>
      </c>
      <c r="D19" s="2"/>
      <c r="E19" s="25">
        <f>E18*1.25</f>
        <v>1787175</v>
      </c>
      <c r="F19" s="27"/>
      <c r="G19" s="27"/>
      <c r="H19" s="27">
        <f>H18*1.25</f>
        <v>1803750</v>
      </c>
    </row>
    <row r="20" spans="1:8" ht="30">
      <c r="A20" s="4"/>
      <c r="B20" s="78"/>
      <c r="C20" s="8" t="s">
        <v>12</v>
      </c>
      <c r="D20" s="2"/>
      <c r="E20" s="25">
        <f>E19/12</f>
        <v>148931.25</v>
      </c>
      <c r="F20" s="26"/>
      <c r="G20" s="26"/>
      <c r="H20" s="27">
        <f>H19/12</f>
        <v>150312.5</v>
      </c>
    </row>
    <row r="21" spans="1:8" ht="90">
      <c r="A21" s="4"/>
      <c r="B21" s="79"/>
      <c r="C21" s="8" t="s">
        <v>13</v>
      </c>
      <c r="D21" s="2"/>
      <c r="E21" s="25">
        <f>(E19+E20)*0.202</f>
        <v>391093.4625</v>
      </c>
      <c r="F21" s="26"/>
      <c r="G21" s="26"/>
      <c r="H21" s="27">
        <f>(H19+H20)*0.202</f>
        <v>394720.625</v>
      </c>
    </row>
    <row r="22" spans="1:8" s="14" customFormat="1" ht="15">
      <c r="A22" s="11"/>
      <c r="B22" s="12"/>
      <c r="C22" s="13" t="s">
        <v>10</v>
      </c>
      <c r="D22" s="11"/>
      <c r="E22" s="24">
        <f>SUM(E19:E21)</f>
        <v>2327199.7125</v>
      </c>
      <c r="F22" s="28"/>
      <c r="G22" s="28"/>
      <c r="H22" s="29">
        <f>SUM(H19:H21)</f>
        <v>2348783.125</v>
      </c>
    </row>
    <row r="24" spans="1:5" ht="15">
      <c r="A24" s="63" t="s">
        <v>27</v>
      </c>
      <c r="B24" s="63"/>
      <c r="C24" s="63"/>
      <c r="D24" s="63"/>
      <c r="E24" s="63"/>
    </row>
    <row r="25" spans="4:5" ht="15">
      <c r="D25" s="63" t="s">
        <v>28</v>
      </c>
      <c r="E25" s="63"/>
    </row>
  </sheetData>
  <sheetProtection/>
  <mergeCells count="13">
    <mergeCell ref="D25:E25"/>
    <mergeCell ref="A24:E24"/>
    <mergeCell ref="B6:B7"/>
    <mergeCell ref="D6:E6"/>
    <mergeCell ref="B19:B21"/>
    <mergeCell ref="A8:A9"/>
    <mergeCell ref="A10:A11"/>
    <mergeCell ref="A12:A17"/>
    <mergeCell ref="G6:H6"/>
    <mergeCell ref="A1:A3"/>
    <mergeCell ref="A6:A7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4">
      <selection activeCell="U5" sqref="U5"/>
    </sheetView>
  </sheetViews>
  <sheetFormatPr defaultColWidth="9.140625" defaultRowHeight="15"/>
  <cols>
    <col min="1" max="1" width="13.140625" style="0" customWidth="1"/>
    <col min="2" max="2" width="22.28125" style="0" customWidth="1"/>
    <col min="3" max="3" width="7.28125" style="56" customWidth="1"/>
    <col min="4" max="4" width="9.00390625" style="0" customWidth="1"/>
    <col min="5" max="5" width="11.140625" style="0" customWidth="1"/>
    <col min="6" max="6" width="9.7109375" style="0" customWidth="1"/>
    <col min="7" max="8" width="9.140625" style="0" customWidth="1"/>
    <col min="9" max="13" width="9.140625" style="0" hidden="1" customWidth="1"/>
    <col min="14" max="14" width="0.9921875" style="0" hidden="1" customWidth="1"/>
    <col min="17" max="17" width="9.140625" style="0" customWidth="1"/>
  </cols>
  <sheetData>
    <row r="1" spans="1:4" ht="15">
      <c r="A1" s="71" t="s">
        <v>39</v>
      </c>
      <c r="B1" s="71"/>
      <c r="C1" s="71"/>
      <c r="D1" s="71"/>
    </row>
    <row r="2" spans="1:4" ht="15">
      <c r="A2" s="71" t="s">
        <v>40</v>
      </c>
      <c r="B2" s="71"/>
      <c r="C2" s="71"/>
      <c r="D2" s="71"/>
    </row>
    <row r="3" spans="1:4" ht="15">
      <c r="A3" s="71" t="s">
        <v>41</v>
      </c>
      <c r="B3" s="71"/>
      <c r="C3" s="71"/>
      <c r="D3" s="71"/>
    </row>
    <row r="4" spans="1:4" ht="15">
      <c r="A4" s="71" t="s">
        <v>42</v>
      </c>
      <c r="B4" s="71"/>
      <c r="C4" s="71"/>
      <c r="D4" s="71"/>
    </row>
    <row r="5" spans="1:4" ht="15">
      <c r="A5" s="71" t="s">
        <v>43</v>
      </c>
      <c r="B5" s="71"/>
      <c r="C5" s="71"/>
      <c r="D5" s="71"/>
    </row>
    <row r="6" spans="1:5" ht="18.75" customHeight="1">
      <c r="A6" s="17"/>
      <c r="B6" s="72" t="s">
        <v>23</v>
      </c>
      <c r="C6" s="72"/>
      <c r="D6" s="72"/>
      <c r="E6" s="72"/>
    </row>
    <row r="7" spans="1:5" ht="37.5" customHeight="1">
      <c r="A7" s="67" t="s">
        <v>37</v>
      </c>
      <c r="B7" s="67"/>
      <c r="C7" s="67"/>
      <c r="D7" s="50"/>
      <c r="E7" s="50"/>
    </row>
    <row r="8" spans="1:16" ht="15">
      <c r="A8" s="64" t="s">
        <v>26</v>
      </c>
      <c r="B8" s="64" t="s">
        <v>1</v>
      </c>
      <c r="C8" s="54" t="s">
        <v>2</v>
      </c>
      <c r="D8" s="65" t="s">
        <v>30</v>
      </c>
      <c r="E8" s="66"/>
      <c r="F8" s="26"/>
      <c r="G8" s="65" t="s">
        <v>31</v>
      </c>
      <c r="H8" s="65"/>
      <c r="O8" s="65" t="s">
        <v>34</v>
      </c>
      <c r="P8" s="65"/>
    </row>
    <row r="9" spans="1:16" ht="60">
      <c r="A9" s="64"/>
      <c r="B9" s="64"/>
      <c r="C9" s="54" t="s">
        <v>3</v>
      </c>
      <c r="D9" s="54" t="s">
        <v>24</v>
      </c>
      <c r="E9" s="55" t="s">
        <v>25</v>
      </c>
      <c r="F9" s="26"/>
      <c r="G9" s="54" t="s">
        <v>24</v>
      </c>
      <c r="H9" s="54" t="s">
        <v>25</v>
      </c>
      <c r="O9" s="54" t="s">
        <v>24</v>
      </c>
      <c r="P9" s="54" t="s">
        <v>25</v>
      </c>
    </row>
    <row r="10" spans="1:18" s="38" customFormat="1" ht="15">
      <c r="A10" s="68" t="s">
        <v>19</v>
      </c>
      <c r="B10" s="57" t="s">
        <v>4</v>
      </c>
      <c r="C10" s="59">
        <v>1</v>
      </c>
      <c r="D10" s="57">
        <v>18900</v>
      </c>
      <c r="E10" s="37">
        <f>D10*12</f>
        <v>226800</v>
      </c>
      <c r="F10" s="53">
        <f>D10*1.04</f>
        <v>19656</v>
      </c>
      <c r="G10" s="53">
        <f>F10</f>
        <v>19656</v>
      </c>
      <c r="H10" s="53">
        <f>G10*12</f>
        <v>235872</v>
      </c>
      <c r="I10" s="38">
        <f>G10-D10</f>
        <v>756</v>
      </c>
      <c r="J10" s="38">
        <f>16748*1.05</f>
        <v>17585.4</v>
      </c>
      <c r="O10" s="53">
        <f>ROUNDUP(G10*1.043,0)</f>
        <v>20502</v>
      </c>
      <c r="P10" s="53">
        <f>O10*12</f>
        <v>246024</v>
      </c>
      <c r="Q10" s="80">
        <f>O10*1.25</f>
        <v>25627.5</v>
      </c>
      <c r="R10" s="81">
        <f>Q10+Q11</f>
        <v>37017.5</v>
      </c>
    </row>
    <row r="11" spans="1:18" s="38" customFormat="1" ht="15">
      <c r="A11" s="69"/>
      <c r="B11" s="2" t="s">
        <v>15</v>
      </c>
      <c r="C11" s="5">
        <v>1</v>
      </c>
      <c r="D11" s="2">
        <v>8400</v>
      </c>
      <c r="E11" s="4">
        <f aca="true" t="shared" si="0" ref="E11:E21">D11*12</f>
        <v>100800</v>
      </c>
      <c r="F11" s="53">
        <f aca="true" t="shared" si="1" ref="F11:F22">D11*1.04</f>
        <v>8736</v>
      </c>
      <c r="G11" s="53">
        <f>F11</f>
        <v>8736</v>
      </c>
      <c r="H11" s="53">
        <f aca="true" t="shared" si="2" ref="H11:H22">G11*12</f>
        <v>104832</v>
      </c>
      <c r="I11" s="38">
        <f aca="true" t="shared" si="3" ref="I11:I21">G11-D11</f>
        <v>336</v>
      </c>
      <c r="O11" s="53">
        <f>ROUNDUP(G11*1.043,0)</f>
        <v>9112</v>
      </c>
      <c r="P11" s="53">
        <f aca="true" t="shared" si="4" ref="P11:P21">O11*12</f>
        <v>109344</v>
      </c>
      <c r="Q11" s="53">
        <f aca="true" t="shared" si="5" ref="Q11:Q22">O11*1.25</f>
        <v>11390</v>
      </c>
      <c r="R11" s="81"/>
    </row>
    <row r="12" spans="1:18" s="38" customFormat="1" ht="15">
      <c r="A12" s="70" t="s">
        <v>20</v>
      </c>
      <c r="B12" s="2" t="s">
        <v>6</v>
      </c>
      <c r="C12" s="5">
        <v>1</v>
      </c>
      <c r="D12" s="2">
        <v>14700</v>
      </c>
      <c r="E12" s="4">
        <f t="shared" si="0"/>
        <v>176400</v>
      </c>
      <c r="F12" s="53">
        <f t="shared" si="1"/>
        <v>15288</v>
      </c>
      <c r="G12" s="53">
        <f>F12</f>
        <v>15288</v>
      </c>
      <c r="H12" s="53">
        <f t="shared" si="2"/>
        <v>183456</v>
      </c>
      <c r="I12" s="38">
        <f t="shared" si="3"/>
        <v>588</v>
      </c>
      <c r="J12" s="38">
        <f>(12705+6372)*1.05</f>
        <v>20030.850000000002</v>
      </c>
      <c r="K12" s="38">
        <v>6372</v>
      </c>
      <c r="O12" s="53">
        <f>ROUNDUP(G12*1.043,0)</f>
        <v>15946</v>
      </c>
      <c r="P12" s="53">
        <f t="shared" si="4"/>
        <v>191352</v>
      </c>
      <c r="Q12" s="80">
        <f t="shared" si="5"/>
        <v>19932.5</v>
      </c>
      <c r="R12" s="53"/>
    </row>
    <row r="13" spans="1:18" s="38" customFormat="1" ht="15">
      <c r="A13" s="69"/>
      <c r="B13" s="2" t="s">
        <v>16</v>
      </c>
      <c r="C13" s="5">
        <v>0.5</v>
      </c>
      <c r="D13" s="2">
        <v>7035</v>
      </c>
      <c r="E13" s="4">
        <f t="shared" si="0"/>
        <v>84420</v>
      </c>
      <c r="F13" s="53">
        <f>D13*2/3</f>
        <v>4690</v>
      </c>
      <c r="G13" s="53">
        <v>7040</v>
      </c>
      <c r="H13" s="53">
        <f>D13*3+G13*9</f>
        <v>84465</v>
      </c>
      <c r="I13" s="38">
        <f t="shared" si="3"/>
        <v>5</v>
      </c>
      <c r="J13" s="38">
        <v>3586</v>
      </c>
      <c r="L13" s="38">
        <v>5000</v>
      </c>
      <c r="O13" s="53">
        <v>7040</v>
      </c>
      <c r="P13" s="53">
        <f t="shared" si="4"/>
        <v>84480</v>
      </c>
      <c r="Q13" s="53">
        <f t="shared" si="5"/>
        <v>8800</v>
      </c>
      <c r="R13" s="53"/>
    </row>
    <row r="14" spans="1:18" s="38" customFormat="1" ht="45">
      <c r="A14" s="70" t="s">
        <v>21</v>
      </c>
      <c r="B14" s="2" t="s">
        <v>36</v>
      </c>
      <c r="C14" s="5">
        <v>1</v>
      </c>
      <c r="D14" s="39">
        <v>15750</v>
      </c>
      <c r="E14" s="4">
        <f t="shared" si="0"/>
        <v>189000</v>
      </c>
      <c r="F14" s="53">
        <f t="shared" si="1"/>
        <v>16380</v>
      </c>
      <c r="G14" s="53">
        <f>F14</f>
        <v>16380</v>
      </c>
      <c r="H14" s="53">
        <f t="shared" si="2"/>
        <v>196560</v>
      </c>
      <c r="I14" s="38">
        <f t="shared" si="3"/>
        <v>630</v>
      </c>
      <c r="J14" s="38">
        <f>12128*1.05</f>
        <v>12734.4</v>
      </c>
      <c r="L14" s="53"/>
      <c r="O14" s="53">
        <f>ROUNDUP(G14*1.043,0)</f>
        <v>17085</v>
      </c>
      <c r="P14" s="53">
        <f t="shared" si="4"/>
        <v>205020</v>
      </c>
      <c r="Q14" s="80">
        <f t="shared" si="5"/>
        <v>21356.25</v>
      </c>
      <c r="R14" s="53"/>
    </row>
    <row r="15" spans="1:18" s="38" customFormat="1" ht="15">
      <c r="A15" s="68"/>
      <c r="B15" s="2" t="s">
        <v>7</v>
      </c>
      <c r="C15" s="5">
        <v>1</v>
      </c>
      <c r="D15" s="39">
        <v>9135</v>
      </c>
      <c r="E15" s="4">
        <f t="shared" si="0"/>
        <v>109620</v>
      </c>
      <c r="F15" s="53">
        <f t="shared" si="1"/>
        <v>9500.4</v>
      </c>
      <c r="G15" s="53">
        <v>9300</v>
      </c>
      <c r="H15" s="53">
        <f t="shared" si="2"/>
        <v>111600</v>
      </c>
      <c r="I15" s="38">
        <f t="shared" si="3"/>
        <v>165</v>
      </c>
      <c r="J15" s="38">
        <f>(10164+5081)*1.05/8*6</f>
        <v>12005.4375</v>
      </c>
      <c r="O15" s="53">
        <f>ROUNDUP(G15*1.043,0)</f>
        <v>9700</v>
      </c>
      <c r="P15" s="53">
        <f t="shared" si="4"/>
        <v>116400</v>
      </c>
      <c r="Q15" s="53">
        <f t="shared" si="5"/>
        <v>12125</v>
      </c>
      <c r="R15" s="65">
        <f>Q15+Q16</f>
        <v>13375</v>
      </c>
    </row>
    <row r="16" spans="1:18" s="38" customFormat="1" ht="30">
      <c r="A16" s="68"/>
      <c r="B16" s="2" t="s">
        <v>33</v>
      </c>
      <c r="C16" s="5"/>
      <c r="D16" s="39"/>
      <c r="E16" s="4"/>
      <c r="F16" s="53"/>
      <c r="G16" s="53">
        <v>1000</v>
      </c>
      <c r="H16" s="53">
        <f t="shared" si="2"/>
        <v>12000</v>
      </c>
      <c r="O16" s="53">
        <v>1000</v>
      </c>
      <c r="P16" s="53">
        <f t="shared" si="4"/>
        <v>12000</v>
      </c>
      <c r="Q16" s="53">
        <f t="shared" si="5"/>
        <v>1250</v>
      </c>
      <c r="R16" s="65"/>
    </row>
    <row r="17" spans="1:18" s="38" customFormat="1" ht="15">
      <c r="A17" s="68"/>
      <c r="B17" s="2" t="s">
        <v>8</v>
      </c>
      <c r="C17" s="51">
        <v>0.75</v>
      </c>
      <c r="D17" s="39">
        <v>7500</v>
      </c>
      <c r="E17" s="4">
        <f t="shared" si="0"/>
        <v>90000</v>
      </c>
      <c r="F17" s="53">
        <f t="shared" si="1"/>
        <v>7800</v>
      </c>
      <c r="G17" s="53">
        <v>7500</v>
      </c>
      <c r="H17" s="53">
        <f t="shared" si="2"/>
        <v>90000</v>
      </c>
      <c r="I17" s="38">
        <f t="shared" si="3"/>
        <v>0</v>
      </c>
      <c r="J17" s="38">
        <f>6584*1.05/8*6</f>
        <v>5184.900000000001</v>
      </c>
      <c r="K17" s="38">
        <f>J17*1.04</f>
        <v>5392.296000000001</v>
      </c>
      <c r="O17" s="53">
        <v>7500</v>
      </c>
      <c r="P17" s="53">
        <f t="shared" si="4"/>
        <v>90000</v>
      </c>
      <c r="Q17" s="53">
        <f t="shared" si="5"/>
        <v>9375</v>
      </c>
      <c r="R17" s="65">
        <f>Q17+Q18</f>
        <v>11250</v>
      </c>
    </row>
    <row r="18" spans="1:18" s="38" customFormat="1" ht="30">
      <c r="A18" s="68"/>
      <c r="B18" s="2" t="s">
        <v>35</v>
      </c>
      <c r="C18" s="5"/>
      <c r="D18" s="39"/>
      <c r="E18" s="4"/>
      <c r="F18" s="53"/>
      <c r="G18" s="53">
        <v>1500</v>
      </c>
      <c r="H18" s="53">
        <f>G18*12</f>
        <v>18000</v>
      </c>
      <c r="O18" s="53">
        <v>1500</v>
      </c>
      <c r="P18" s="53">
        <f t="shared" si="4"/>
        <v>18000</v>
      </c>
      <c r="Q18" s="53">
        <f t="shared" si="5"/>
        <v>1875</v>
      </c>
      <c r="R18" s="65"/>
    </row>
    <row r="19" spans="1:18" s="38" customFormat="1" ht="15">
      <c r="A19" s="68"/>
      <c r="B19" s="2" t="s">
        <v>9</v>
      </c>
      <c r="C19" s="5">
        <v>1</v>
      </c>
      <c r="D19" s="39">
        <v>13125</v>
      </c>
      <c r="E19" s="4">
        <f t="shared" si="0"/>
        <v>157500</v>
      </c>
      <c r="F19" s="53">
        <f>D19*1.06</f>
        <v>13912.5</v>
      </c>
      <c r="G19" s="53">
        <f>14000+1260</f>
        <v>15260</v>
      </c>
      <c r="H19" s="53">
        <f t="shared" si="2"/>
        <v>183120</v>
      </c>
      <c r="I19" s="38">
        <f t="shared" si="3"/>
        <v>2135</v>
      </c>
      <c r="J19" s="38">
        <f>13397*1.05</f>
        <v>14066.85</v>
      </c>
      <c r="K19" s="38">
        <f>J19/6</f>
        <v>2344.475</v>
      </c>
      <c r="L19" s="38">
        <f>D19/6</f>
        <v>2187.5</v>
      </c>
      <c r="M19" s="38">
        <v>14000</v>
      </c>
      <c r="O19" s="53">
        <f>ROUNDUP(G19*1.043,0)</f>
        <v>15917</v>
      </c>
      <c r="P19" s="53">
        <f t="shared" si="4"/>
        <v>191004</v>
      </c>
      <c r="Q19" s="53">
        <f t="shared" si="5"/>
        <v>19896.25</v>
      </c>
      <c r="R19" s="53"/>
    </row>
    <row r="20" spans="1:18" s="38" customFormat="1" ht="15">
      <c r="A20" s="68"/>
      <c r="B20" s="2" t="s">
        <v>17</v>
      </c>
      <c r="C20" s="5">
        <v>1</v>
      </c>
      <c r="D20" s="39">
        <v>12600</v>
      </c>
      <c r="E20" s="4">
        <f t="shared" si="0"/>
        <v>151200</v>
      </c>
      <c r="F20" s="53">
        <f t="shared" si="1"/>
        <v>13104</v>
      </c>
      <c r="G20" s="53">
        <v>12600</v>
      </c>
      <c r="H20" s="53">
        <f t="shared" si="2"/>
        <v>151200</v>
      </c>
      <c r="I20" s="38">
        <f t="shared" si="3"/>
        <v>0</v>
      </c>
      <c r="J20" s="38">
        <f>14208*1.05/8*6</f>
        <v>11188.800000000001</v>
      </c>
      <c r="K20" s="38">
        <f>J20/6</f>
        <v>1864.8000000000002</v>
      </c>
      <c r="O20" s="53">
        <f>ROUNDUP(G20*1.043,0)</f>
        <v>13142</v>
      </c>
      <c r="P20" s="53">
        <f t="shared" si="4"/>
        <v>157704</v>
      </c>
      <c r="Q20" s="53">
        <f t="shared" si="5"/>
        <v>16427.5</v>
      </c>
      <c r="R20" s="53"/>
    </row>
    <row r="21" spans="1:18" s="38" customFormat="1" ht="30">
      <c r="A21" s="69"/>
      <c r="B21" s="58" t="s">
        <v>18</v>
      </c>
      <c r="C21" s="5">
        <v>1</v>
      </c>
      <c r="D21" s="39">
        <v>12000</v>
      </c>
      <c r="E21" s="4">
        <f t="shared" si="0"/>
        <v>144000</v>
      </c>
      <c r="F21" s="53">
        <f t="shared" si="1"/>
        <v>12480</v>
      </c>
      <c r="G21" s="53">
        <v>12000</v>
      </c>
      <c r="H21" s="53">
        <f t="shared" si="2"/>
        <v>144000</v>
      </c>
      <c r="I21" s="38">
        <f t="shared" si="3"/>
        <v>0</v>
      </c>
      <c r="J21" s="38">
        <f>12936*1.05/8*6</f>
        <v>10187.1</v>
      </c>
      <c r="K21" s="38">
        <f>J21/6</f>
        <v>1697.8500000000001</v>
      </c>
      <c r="O21" s="53">
        <f>ROUNDUP(G21*1.04,0)</f>
        <v>12480</v>
      </c>
      <c r="P21" s="53">
        <f t="shared" si="4"/>
        <v>149760</v>
      </c>
      <c r="Q21" s="53">
        <f t="shared" si="5"/>
        <v>15600</v>
      </c>
      <c r="R21" s="53"/>
    </row>
    <row r="22" spans="1:18" s="41" customFormat="1" ht="15">
      <c r="A22" s="11"/>
      <c r="B22" s="15" t="s">
        <v>10</v>
      </c>
      <c r="C22" s="13">
        <f>SUM(C10:C21)</f>
        <v>9.25</v>
      </c>
      <c r="D22" s="11">
        <f>SUM(D10:D21)</f>
        <v>119145</v>
      </c>
      <c r="E22" s="40">
        <f>SUM(E10:E21)</f>
        <v>1429740</v>
      </c>
      <c r="F22" s="53">
        <f t="shared" si="1"/>
        <v>123910.8</v>
      </c>
      <c r="G22" s="53">
        <f>SUM(G10:G21)</f>
        <v>126260</v>
      </c>
      <c r="H22" s="53">
        <f t="shared" si="2"/>
        <v>1515120</v>
      </c>
      <c r="O22" s="42">
        <f>SUM(O10:O21)</f>
        <v>130924</v>
      </c>
      <c r="P22" s="42">
        <f>SUM(P10:P21)</f>
        <v>1571088</v>
      </c>
      <c r="Q22" s="53">
        <f t="shared" si="5"/>
        <v>163655</v>
      </c>
      <c r="R22" s="42"/>
    </row>
    <row r="23" spans="1:16" s="38" customFormat="1" ht="60">
      <c r="A23" s="4"/>
      <c r="B23" s="60" t="s">
        <v>14</v>
      </c>
      <c r="C23" s="52" t="s">
        <v>11</v>
      </c>
      <c r="D23" s="2"/>
      <c r="E23" s="43">
        <f>E22*1.25</f>
        <v>1787175</v>
      </c>
      <c r="F23" s="44"/>
      <c r="G23" s="44"/>
      <c r="H23" s="44">
        <f>H22*1.25</f>
        <v>1893900</v>
      </c>
      <c r="I23" s="44">
        <f aca="true" t="shared" si="6" ref="I23:P23">I22*1.25</f>
        <v>0</v>
      </c>
      <c r="J23" s="44">
        <f t="shared" si="6"/>
        <v>0</v>
      </c>
      <c r="K23" s="44">
        <f t="shared" si="6"/>
        <v>0</v>
      </c>
      <c r="L23" s="44">
        <f t="shared" si="6"/>
        <v>0</v>
      </c>
      <c r="M23" s="44">
        <f t="shared" si="6"/>
        <v>0</v>
      </c>
      <c r="N23" s="44">
        <f t="shared" si="6"/>
        <v>0</v>
      </c>
      <c r="O23" s="44">
        <f t="shared" si="6"/>
        <v>163655</v>
      </c>
      <c r="P23" s="44">
        <f t="shared" si="6"/>
        <v>1963860</v>
      </c>
    </row>
    <row r="24" spans="1:16" s="38" customFormat="1" ht="75">
      <c r="A24" s="4"/>
      <c r="B24" s="61"/>
      <c r="C24" s="52" t="s">
        <v>38</v>
      </c>
      <c r="D24" s="2"/>
      <c r="E24" s="43"/>
      <c r="F24" s="44"/>
      <c r="G24" s="44"/>
      <c r="H24" s="44"/>
      <c r="I24" s="49"/>
      <c r="J24" s="49"/>
      <c r="K24" s="49"/>
      <c r="L24" s="49"/>
      <c r="M24" s="49"/>
      <c r="N24" s="49"/>
      <c r="O24" s="44"/>
      <c r="P24" s="44">
        <f>P25*0.1</f>
        <v>16365.5</v>
      </c>
    </row>
    <row r="25" spans="1:16" s="38" customFormat="1" ht="30">
      <c r="A25" s="4"/>
      <c r="B25" s="61"/>
      <c r="C25" s="52" t="s">
        <v>12</v>
      </c>
      <c r="D25" s="2"/>
      <c r="E25" s="43">
        <f>E23/12</f>
        <v>148931.25</v>
      </c>
      <c r="F25" s="53"/>
      <c r="G25" s="53"/>
      <c r="H25" s="44">
        <f>H23/12</f>
        <v>157825</v>
      </c>
      <c r="O25" s="53"/>
      <c r="P25" s="44">
        <f>P23/12</f>
        <v>163655</v>
      </c>
    </row>
    <row r="26" spans="1:16" s="38" customFormat="1" ht="75">
      <c r="A26" s="4"/>
      <c r="B26" s="62"/>
      <c r="C26" s="52" t="s">
        <v>13</v>
      </c>
      <c r="D26" s="2"/>
      <c r="E26" s="43">
        <f>(E23+E25)*0.202</f>
        <v>391093.4625</v>
      </c>
      <c r="F26" s="53"/>
      <c r="G26" s="53"/>
      <c r="H26" s="44">
        <f>(H23+H25)*0.202</f>
        <v>414448.45</v>
      </c>
      <c r="I26" s="44">
        <f aca="true" t="shared" si="7" ref="I26:N26">(I23+I25)*0.202</f>
        <v>0</v>
      </c>
      <c r="J26" s="44">
        <f t="shared" si="7"/>
        <v>0</v>
      </c>
      <c r="K26" s="44">
        <f t="shared" si="7"/>
        <v>0</v>
      </c>
      <c r="L26" s="44">
        <f t="shared" si="7"/>
        <v>0</v>
      </c>
      <c r="M26" s="44">
        <f t="shared" si="7"/>
        <v>0</v>
      </c>
      <c r="N26" s="44">
        <f t="shared" si="7"/>
        <v>0</v>
      </c>
      <c r="O26" s="44">
        <f>(O23+O25)*0.302</f>
        <v>49423.81</v>
      </c>
      <c r="P26" s="44">
        <f>(P23+P25)*0.302</f>
        <v>642509.53</v>
      </c>
    </row>
    <row r="27" spans="1:16" s="14" customFormat="1" ht="15">
      <c r="A27" s="11"/>
      <c r="B27" s="12"/>
      <c r="C27" s="13" t="s">
        <v>10</v>
      </c>
      <c r="D27" s="11"/>
      <c r="E27" s="24">
        <f>SUM(E23:E26)</f>
        <v>2327199.7125</v>
      </c>
      <c r="F27" s="28"/>
      <c r="G27" s="28"/>
      <c r="H27" s="29">
        <f>SUM(H23:H26)</f>
        <v>2466173.45</v>
      </c>
      <c r="O27" s="28"/>
      <c r="P27" s="36">
        <f>SUM(P23:P26)</f>
        <v>2786390.0300000003</v>
      </c>
    </row>
    <row r="29" spans="1:5" ht="15">
      <c r="A29" s="63"/>
      <c r="B29" s="63"/>
      <c r="C29" s="63"/>
      <c r="D29" s="63"/>
      <c r="E29" s="63"/>
    </row>
    <row r="30" spans="4:5" ht="15">
      <c r="D30" s="63" t="s">
        <v>28</v>
      </c>
      <c r="E30" s="63"/>
    </row>
  </sheetData>
  <sheetProtection/>
  <mergeCells count="21">
    <mergeCell ref="B23:B26"/>
    <mergeCell ref="A29:E29"/>
    <mergeCell ref="D30:E30"/>
    <mergeCell ref="A10:A11"/>
    <mergeCell ref="R10:R11"/>
    <mergeCell ref="A12:A13"/>
    <mergeCell ref="A14:A21"/>
    <mergeCell ref="R15:R16"/>
    <mergeCell ref="R17:R18"/>
    <mergeCell ref="A7:C7"/>
    <mergeCell ref="A8:A9"/>
    <mergeCell ref="B8:B9"/>
    <mergeCell ref="D8:E8"/>
    <mergeCell ref="G8:H8"/>
    <mergeCell ref="O8:P8"/>
    <mergeCell ref="A1:D1"/>
    <mergeCell ref="A2:D2"/>
    <mergeCell ref="A3:D3"/>
    <mergeCell ref="A4:D4"/>
    <mergeCell ref="A5:D5"/>
    <mergeCell ref="B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2019-02-01T09:43:42Z</cp:lastPrinted>
  <dcterms:created xsi:type="dcterms:W3CDTF">2016-12-27T11:55:15Z</dcterms:created>
  <dcterms:modified xsi:type="dcterms:W3CDTF">2019-02-01T10:10:35Z</dcterms:modified>
  <cp:category/>
  <cp:version/>
  <cp:contentType/>
  <cp:contentStatus/>
</cp:coreProperties>
</file>